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\Transparency\Debt Obligations\"/>
    </mc:Choice>
  </mc:AlternateContent>
  <xr:revisionPtr revIDLastSave="0" documentId="13_ncr:1_{CDAE6087-FFB7-493F-9374-033BB214FC82}" xr6:coauthVersionLast="36" xr6:coauthVersionMax="36" xr10:uidLastSave="{00000000-0000-0000-0000-000000000000}"/>
  <bookViews>
    <workbookView xWindow="120" yWindow="60" windowWidth="12120" windowHeight="9120" tabRatio="347" xr2:uid="{00000000-000D-0000-FFFF-FFFF00000000}"/>
  </bookViews>
  <sheets>
    <sheet name="CURRENT DEBT ISSUES" sheetId="2" r:id="rId1"/>
  </sheets>
  <calcPr calcId="191029"/>
</workbook>
</file>

<file path=xl/calcChain.xml><?xml version="1.0" encoding="utf-8"?>
<calcChain xmlns="http://schemas.openxmlformats.org/spreadsheetml/2006/main">
  <c r="B34" i="2" l="1"/>
  <c r="J26" i="2"/>
  <c r="M26" i="2"/>
  <c r="J21" i="2" l="1"/>
  <c r="M21" i="2" s="1"/>
  <c r="J22" i="2"/>
  <c r="M22" i="2" s="1"/>
  <c r="J23" i="2"/>
  <c r="M23" i="2" s="1"/>
  <c r="J24" i="2"/>
  <c r="M24" i="2" s="1"/>
  <c r="J25" i="2"/>
  <c r="M25" i="2" s="1"/>
  <c r="E5" i="2"/>
  <c r="D31" i="2"/>
  <c r="E16" i="2"/>
  <c r="E15" i="2"/>
  <c r="E14" i="2"/>
  <c r="E13" i="2"/>
  <c r="E12" i="2"/>
  <c r="E11" i="2"/>
  <c r="E10" i="2"/>
  <c r="E9" i="2"/>
  <c r="E8" i="2"/>
  <c r="E7" i="2"/>
  <c r="E6" i="2"/>
  <c r="C12" i="2"/>
  <c r="C4" i="2"/>
  <c r="C18" i="2"/>
  <c r="J18" i="2" s="1"/>
  <c r="M18" i="2" s="1"/>
  <c r="B31" i="2"/>
  <c r="C20" i="2"/>
  <c r="J20" i="2" s="1"/>
  <c r="M20" i="2" s="1"/>
  <c r="C19" i="2"/>
  <c r="J19" i="2" s="1"/>
  <c r="M19" i="2" s="1"/>
  <c r="C17" i="2"/>
  <c r="J17" i="2" s="1"/>
  <c r="M17" i="2" s="1"/>
  <c r="C16" i="2"/>
  <c r="C15" i="2"/>
  <c r="C14" i="2"/>
  <c r="C13" i="2"/>
  <c r="C11" i="2"/>
  <c r="C10" i="2"/>
  <c r="C9" i="2"/>
  <c r="C8" i="2"/>
  <c r="J8" i="2" s="1"/>
  <c r="C7" i="2"/>
  <c r="C6" i="2"/>
  <c r="C5" i="2"/>
  <c r="I31" i="2"/>
  <c r="I34" i="2" s="1"/>
  <c r="G31" i="2"/>
  <c r="G34" i="2" s="1"/>
  <c r="F31" i="2"/>
  <c r="K31" i="2"/>
  <c r="L31" i="2"/>
  <c r="L34" i="2" s="1"/>
  <c r="D34" i="2" l="1"/>
  <c r="D33" i="2"/>
  <c r="K34" i="2"/>
  <c r="K33" i="2"/>
  <c r="F34" i="2"/>
  <c r="F33" i="2"/>
  <c r="B33" i="2"/>
  <c r="M8" i="2"/>
  <c r="K32" i="2"/>
  <c r="F32" i="2"/>
  <c r="J14" i="2"/>
  <c r="M14" i="2" s="1"/>
  <c r="J16" i="2"/>
  <c r="M16" i="2" s="1"/>
  <c r="J6" i="2"/>
  <c r="M6" i="2" s="1"/>
  <c r="J15" i="2"/>
  <c r="M15" i="2" s="1"/>
  <c r="J10" i="2"/>
  <c r="M10" i="2" s="1"/>
  <c r="J11" i="2"/>
  <c r="M11" i="2" s="1"/>
  <c r="J7" i="2"/>
  <c r="M7" i="2" s="1"/>
  <c r="J12" i="2"/>
  <c r="M12" i="2" s="1"/>
  <c r="J9" i="2"/>
  <c r="M9" i="2" s="1"/>
  <c r="J13" i="2"/>
  <c r="M13" i="2" s="1"/>
  <c r="J5" i="2"/>
  <c r="M5" i="2" s="1"/>
  <c r="J4" i="2"/>
  <c r="M4" i="2" s="1"/>
  <c r="H31" i="2"/>
  <c r="E31" i="2"/>
  <c r="C31" i="2"/>
  <c r="H34" i="2" l="1"/>
  <c r="H33" i="2"/>
  <c r="M33" i="2"/>
  <c r="D32" i="2"/>
  <c r="E34" i="2"/>
  <c r="B32" i="2"/>
  <c r="C34" i="2"/>
  <c r="H32" i="2"/>
  <c r="J32" i="2" s="1"/>
  <c r="M32" i="2" s="1"/>
  <c r="M34" i="2" s="1"/>
  <c r="J34" i="2" l="1"/>
</calcChain>
</file>

<file path=xl/sharedStrings.xml><?xml version="1.0" encoding="utf-8"?>
<sst xmlns="http://schemas.openxmlformats.org/spreadsheetml/2006/main" count="25" uniqueCount="17">
  <si>
    <t>TOTAL</t>
  </si>
  <si>
    <t>Certificates  of Obligation Series 2014</t>
  </si>
  <si>
    <t>Ltd. Tax Ref. Bonds Series 2017</t>
  </si>
  <si>
    <t>John Deere - Lease Purchase Agreement</t>
  </si>
  <si>
    <t>Principal</t>
  </si>
  <si>
    <t>Interest</t>
  </si>
  <si>
    <t>Lease-Purchase Debt</t>
  </si>
  <si>
    <t>Year</t>
  </si>
  <si>
    <t>TOTAL P&amp;I</t>
  </si>
  <si>
    <t>Total Debt (P&amp;I) Issued</t>
  </si>
  <si>
    <t>Total Debt Issued</t>
  </si>
  <si>
    <t>Principal Only</t>
  </si>
  <si>
    <t>Total Tax-Revenue Supported Debt</t>
  </si>
  <si>
    <t>Total Outstanding December 31, 2022</t>
  </si>
  <si>
    <t xml:space="preserve"> </t>
  </si>
  <si>
    <t>Certificates  of Obligation Series 2022</t>
  </si>
  <si>
    <t>Certificates of Obligation Series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</si>
</sst>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27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i/>
      <sz val="12"/>
      <color theme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E23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 style="thin">
        <color theme="4"/>
      </left>
      <right/>
      <top/>
      <bottom style="thin">
        <color rgb="FF000000"/>
      </bottom>
      <diagonal/>
    </border>
    <border>
      <left/>
      <right style="thin">
        <color theme="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4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medium">
        <color theme="4"/>
      </right>
      <top style="medium">
        <color theme="3"/>
      </top>
      <bottom/>
      <diagonal/>
    </border>
    <border>
      <left style="medium">
        <color theme="4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indexed="64"/>
      </top>
      <bottom/>
      <diagonal/>
    </border>
    <border>
      <left style="medium">
        <color theme="3"/>
      </left>
      <right style="thin">
        <color theme="4"/>
      </right>
      <top/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 style="thin">
        <color auto="1"/>
      </bottom>
      <diagonal/>
    </border>
    <border>
      <left/>
      <right style="thin">
        <color theme="4"/>
      </right>
      <top/>
      <bottom style="thin">
        <color auto="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top" indent="1" shrinkToFit="1"/>
    </xf>
    <xf numFmtId="164" fontId="6" fillId="0" borderId="1" xfId="1" applyNumberFormat="1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top" indent="1" shrinkToFit="1"/>
    </xf>
    <xf numFmtId="164" fontId="6" fillId="0" borderId="1" xfId="1" applyNumberFormat="1" applyFont="1" applyBorder="1" applyAlignment="1">
      <alignment horizontal="right" wrapText="1"/>
    </xf>
    <xf numFmtId="164" fontId="6" fillId="0" borderId="2" xfId="1" applyNumberFormat="1" applyFont="1" applyBorder="1" applyAlignment="1">
      <alignment horizontal="right" wrapText="1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11" xfId="1" applyNumberFormat="1" applyFont="1" applyBorder="1" applyAlignment="1">
      <alignment horizontal="right" vertical="center" wrapText="1"/>
    </xf>
    <xf numFmtId="165" fontId="6" fillId="0" borderId="0" xfId="0" applyNumberFormat="1" applyFont="1"/>
    <xf numFmtId="164" fontId="5" fillId="3" borderId="1" xfId="1" applyNumberFormat="1" applyFont="1" applyFill="1" applyBorder="1" applyAlignment="1">
      <alignment horizontal="right" vertical="top" indent="1" shrinkToFit="1"/>
    </xf>
    <xf numFmtId="164" fontId="5" fillId="3" borderId="2" xfId="1" applyNumberFormat="1" applyFont="1" applyFill="1" applyBorder="1" applyAlignment="1">
      <alignment horizontal="right" vertical="top" indent="1" shrinkToFit="1"/>
    </xf>
    <xf numFmtId="0" fontId="6" fillId="0" borderId="0" xfId="0" applyFont="1" applyBorder="1"/>
    <xf numFmtId="164" fontId="5" fillId="0" borderId="0" xfId="0" applyNumberFormat="1" applyFont="1" applyBorder="1" applyAlignment="1">
      <alignment horizontal="center" vertical="top" wrapText="1"/>
    </xf>
    <xf numFmtId="164" fontId="6" fillId="0" borderId="0" xfId="1" applyNumberFormat="1" applyFont="1" applyBorder="1" applyAlignment="1">
      <alignment horizontal="right" wrapText="1"/>
    </xf>
    <xf numFmtId="164" fontId="6" fillId="0" borderId="12" xfId="1" applyNumberFormat="1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top" wrapText="1"/>
    </xf>
    <xf numFmtId="165" fontId="5" fillId="0" borderId="14" xfId="2" applyNumberFormat="1" applyFont="1" applyBorder="1" applyAlignment="1">
      <alignment horizontal="right" vertical="top" indent="4" shrinkToFit="1"/>
    </xf>
    <xf numFmtId="164" fontId="5" fillId="0" borderId="0" xfId="0" applyNumberFormat="1" applyFont="1" applyBorder="1" applyAlignment="1">
      <alignment vertical="top" wrapText="1"/>
    </xf>
    <xf numFmtId="164" fontId="7" fillId="0" borderId="0" xfId="0" applyNumberFormat="1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5" fontId="5" fillId="0" borderId="0" xfId="2" applyNumberFormat="1" applyFont="1" applyBorder="1" applyAlignment="1">
      <alignment horizontal="right" vertical="top" indent="4" shrinkToFi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1" fontId="7" fillId="0" borderId="25" xfId="0" applyNumberFormat="1" applyFont="1" applyBorder="1" applyAlignment="1">
      <alignment horizontal="right" vertical="top" indent="1" shrinkToFi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wrapText="1"/>
    </xf>
    <xf numFmtId="164" fontId="6" fillId="0" borderId="2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wrapText="1"/>
    </xf>
    <xf numFmtId="164" fontId="6" fillId="0" borderId="1" xfId="1" applyNumberFormat="1" applyFont="1" applyBorder="1" applyAlignment="1">
      <alignment vertical="top" shrinkToFit="1"/>
    </xf>
    <xf numFmtId="164" fontId="6" fillId="0" borderId="2" xfId="1" applyNumberFormat="1" applyFont="1" applyBorder="1" applyAlignment="1">
      <alignment vertical="top" shrinkToFit="1"/>
    </xf>
    <xf numFmtId="164" fontId="6" fillId="3" borderId="1" xfId="1" applyNumberFormat="1" applyFont="1" applyFill="1" applyBorder="1" applyAlignment="1">
      <alignment vertical="center" wrapText="1"/>
    </xf>
    <xf numFmtId="164" fontId="6" fillId="3" borderId="2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top" shrinkToFit="1"/>
    </xf>
    <xf numFmtId="164" fontId="6" fillId="0" borderId="0" xfId="1" applyNumberFormat="1" applyFont="1" applyBorder="1" applyAlignment="1">
      <alignment vertical="center" wrapText="1"/>
    </xf>
    <xf numFmtId="164" fontId="6" fillId="0" borderId="13" xfId="1" applyNumberFormat="1" applyFont="1" applyBorder="1" applyAlignment="1">
      <alignment vertical="top" shrinkToFit="1"/>
    </xf>
    <xf numFmtId="164" fontId="6" fillId="3" borderId="1" xfId="1" applyNumberFormat="1" applyFont="1" applyFill="1" applyBorder="1" applyAlignment="1">
      <alignment vertical="top" wrapText="1"/>
    </xf>
    <xf numFmtId="164" fontId="6" fillId="3" borderId="2" xfId="1" applyNumberFormat="1" applyFont="1" applyFill="1" applyBorder="1" applyAlignment="1">
      <alignment vertical="top" wrapText="1"/>
    </xf>
    <xf numFmtId="164" fontId="6" fillId="0" borderId="14" xfId="1" applyNumberFormat="1" applyFont="1" applyBorder="1" applyAlignment="1">
      <alignment vertical="top" shrinkToFit="1"/>
    </xf>
    <xf numFmtId="164" fontId="6" fillId="3" borderId="1" xfId="1" applyNumberFormat="1" applyFont="1" applyFill="1" applyBorder="1" applyAlignment="1">
      <alignment vertical="top" shrinkToFit="1"/>
    </xf>
    <xf numFmtId="164" fontId="6" fillId="3" borderId="2" xfId="1" applyNumberFormat="1" applyFont="1" applyFill="1" applyBorder="1" applyAlignment="1">
      <alignment vertical="top" shrinkToFit="1"/>
    </xf>
    <xf numFmtId="164" fontId="6" fillId="0" borderId="0" xfId="1" applyNumberFormat="1" applyFont="1" applyBorder="1" applyAlignment="1">
      <alignment wrapText="1"/>
    </xf>
    <xf numFmtId="164" fontId="6" fillId="0" borderId="19" xfId="1" applyNumberFormat="1" applyFont="1" applyBorder="1" applyAlignment="1">
      <alignment vertical="center" wrapText="1"/>
    </xf>
    <xf numFmtId="164" fontId="6" fillId="3" borderId="1" xfId="1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wrapText="1"/>
    </xf>
    <xf numFmtId="0" fontId="12" fillId="6" borderId="25" xfId="4" applyFont="1" applyBorder="1" applyAlignment="1">
      <alignment wrapText="1"/>
    </xf>
    <xf numFmtId="164" fontId="12" fillId="6" borderId="1" xfId="4" applyNumberFormat="1" applyFont="1" applyBorder="1" applyAlignment="1">
      <alignment horizontal="center"/>
    </xf>
    <xf numFmtId="164" fontId="12" fillId="6" borderId="2" xfId="4" applyNumberFormat="1" applyFont="1" applyBorder="1" applyAlignment="1">
      <alignment horizontal="center"/>
    </xf>
    <xf numFmtId="164" fontId="12" fillId="6" borderId="0" xfId="4" applyNumberFormat="1" applyFont="1" applyBorder="1" applyAlignment="1">
      <alignment horizontal="center"/>
    </xf>
    <xf numFmtId="164" fontId="12" fillId="6" borderId="29" xfId="4" applyNumberFormat="1" applyFont="1" applyBorder="1" applyAlignment="1">
      <alignment horizontal="center"/>
    </xf>
    <xf numFmtId="164" fontId="12" fillId="6" borderId="14" xfId="4" applyNumberFormat="1" applyFont="1" applyBorder="1" applyAlignment="1">
      <alignment horizontal="center"/>
    </xf>
    <xf numFmtId="164" fontId="13" fillId="5" borderId="1" xfId="3" applyNumberFormat="1" applyFont="1" applyBorder="1" applyAlignment="1">
      <alignment horizontal="center"/>
    </xf>
    <xf numFmtId="164" fontId="13" fillId="5" borderId="2" xfId="3" applyNumberFormat="1" applyFont="1" applyBorder="1" applyAlignment="1">
      <alignment horizontal="center"/>
    </xf>
    <xf numFmtId="164" fontId="13" fillId="5" borderId="0" xfId="3" applyNumberFormat="1" applyFont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 wrapText="1"/>
    </xf>
    <xf numFmtId="164" fontId="10" fillId="4" borderId="18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/>
    <xf numFmtId="0" fontId="9" fillId="4" borderId="16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right" vertical="top" wrapText="1" indent="1"/>
    </xf>
    <xf numFmtId="0" fontId="13" fillId="5" borderId="27" xfId="3" applyFont="1" applyBorder="1" applyAlignment="1"/>
    <xf numFmtId="164" fontId="13" fillId="5" borderId="29" xfId="3" applyNumberFormat="1" applyFont="1" applyBorder="1" applyAlignment="1">
      <alignment horizontal="right" wrapText="1"/>
    </xf>
    <xf numFmtId="164" fontId="13" fillId="5" borderId="14" xfId="3" applyNumberFormat="1" applyFont="1" applyBorder="1" applyAlignment="1">
      <alignment horizontal="right" shrinkToFit="1"/>
    </xf>
    <xf numFmtId="164" fontId="8" fillId="0" borderId="1" xfId="2" applyNumberFormat="1" applyFont="1" applyBorder="1" applyAlignment="1">
      <alignment horizontal="right" wrapText="1"/>
    </xf>
    <xf numFmtId="164" fontId="8" fillId="0" borderId="2" xfId="2" applyNumberFormat="1" applyFont="1" applyBorder="1" applyAlignment="1">
      <alignment horizontal="right" wrapText="1"/>
    </xf>
    <xf numFmtId="164" fontId="8" fillId="0" borderId="1" xfId="1" applyNumberFormat="1" applyFont="1" applyBorder="1" applyAlignment="1">
      <alignment horizontal="right" wrapText="1"/>
    </xf>
    <xf numFmtId="164" fontId="8" fillId="0" borderId="2" xfId="1" applyNumberFormat="1" applyFont="1" applyBorder="1" applyAlignment="1">
      <alignment horizontal="right" wrapText="1"/>
    </xf>
    <xf numFmtId="164" fontId="8" fillId="3" borderId="8" xfId="1" applyNumberFormat="1" applyFont="1" applyFill="1" applyBorder="1" applyAlignment="1">
      <alignment horizontal="right" wrapText="1"/>
    </xf>
    <xf numFmtId="164" fontId="8" fillId="3" borderId="9" xfId="1" applyNumberFormat="1" applyFont="1" applyFill="1" applyBorder="1" applyAlignment="1">
      <alignment horizontal="right" wrapText="1"/>
    </xf>
    <xf numFmtId="164" fontId="8" fillId="3" borderId="1" xfId="1" applyNumberFormat="1" applyFont="1" applyFill="1" applyBorder="1" applyAlignment="1">
      <alignment horizontal="right" wrapText="1"/>
    </xf>
    <xf numFmtId="164" fontId="8" fillId="3" borderId="0" xfId="1" applyNumberFormat="1" applyFont="1" applyFill="1" applyBorder="1" applyAlignment="1">
      <alignment horizontal="right" wrapText="1"/>
    </xf>
    <xf numFmtId="164" fontId="8" fillId="0" borderId="28" xfId="1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164" fontId="8" fillId="0" borderId="15" xfId="1" applyNumberFormat="1" applyFont="1" applyBorder="1" applyAlignment="1">
      <alignment horizontal="right" shrinkToFit="1"/>
    </xf>
    <xf numFmtId="0" fontId="7" fillId="0" borderId="26" xfId="0" applyFont="1" applyBorder="1" applyAlignment="1">
      <alignment horizontal="left" wrapText="1"/>
    </xf>
    <xf numFmtId="164" fontId="6" fillId="3" borderId="30" xfId="1" applyNumberFormat="1" applyFont="1" applyFill="1" applyBorder="1" applyAlignment="1">
      <alignment vertical="center" wrapText="1"/>
    </xf>
    <xf numFmtId="164" fontId="6" fillId="3" borderId="31" xfId="1" applyNumberFormat="1" applyFont="1" applyFill="1" applyBorder="1" applyAlignment="1">
      <alignment vertical="center" wrapText="1"/>
    </xf>
    <xf numFmtId="164" fontId="11" fillId="4" borderId="32" xfId="0" applyNumberFormat="1" applyFont="1" applyFill="1" applyBorder="1" applyAlignment="1">
      <alignment horizontal="center" wrapText="1"/>
    </xf>
  </cellXfs>
  <cellStyles count="5">
    <cellStyle name="20% - Accent1" xfId="3" builtinId="30"/>
    <cellStyle name="20% - Accent3" xfId="4" builtinId="38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pane xSplit="1" topLeftCell="B1" activePane="topRight" state="frozen"/>
      <selection pane="topRight" activeCell="K40" sqref="K40"/>
    </sheetView>
  </sheetViews>
  <sheetFormatPr defaultRowHeight="14.25" x14ac:dyDescent="0.2"/>
  <cols>
    <col min="1" max="1" width="28.140625" style="1" customWidth="1"/>
    <col min="2" max="2" width="15" style="1" customWidth="1"/>
    <col min="3" max="3" width="12.85546875" style="1" customWidth="1"/>
    <col min="4" max="5" width="14.85546875" style="1" customWidth="1"/>
    <col min="6" max="7" width="14.7109375" style="1" customWidth="1"/>
    <col min="8" max="8" width="13.5703125" style="1" customWidth="1"/>
    <col min="9" max="9" width="18" style="1" customWidth="1"/>
    <col min="10" max="10" width="19.85546875" style="1" bestFit="1" customWidth="1"/>
    <col min="11" max="11" width="16.5703125" style="1" customWidth="1"/>
    <col min="12" max="12" width="14.7109375" style="1" customWidth="1"/>
    <col min="13" max="13" width="22" style="1" customWidth="1"/>
    <col min="14" max="14" width="14.85546875" style="1" bestFit="1" customWidth="1"/>
    <col min="15" max="16" width="12.42578125" style="1" bestFit="1" customWidth="1"/>
    <col min="17" max="16384" width="9.140625" style="1"/>
  </cols>
  <sheetData>
    <row r="1" spans="1:13" ht="41.25" customHeight="1" x14ac:dyDescent="0.2">
      <c r="B1" s="22" t="s">
        <v>12</v>
      </c>
      <c r="C1" s="22"/>
      <c r="D1" s="22"/>
      <c r="E1" s="22"/>
      <c r="F1" s="22"/>
      <c r="G1" s="22"/>
      <c r="H1" s="22"/>
      <c r="I1" s="23"/>
      <c r="K1" s="24" t="s">
        <v>6</v>
      </c>
      <c r="L1" s="23"/>
      <c r="M1" s="2"/>
    </row>
    <row r="2" spans="1:13" ht="39" customHeight="1" thickBot="1" x14ac:dyDescent="0.25">
      <c r="B2" s="25" t="s">
        <v>1</v>
      </c>
      <c r="C2" s="25"/>
      <c r="D2" s="25" t="s">
        <v>2</v>
      </c>
      <c r="E2" s="25"/>
      <c r="F2" s="25" t="s">
        <v>16</v>
      </c>
      <c r="G2" s="25"/>
      <c r="H2" s="25" t="s">
        <v>15</v>
      </c>
      <c r="I2" s="25"/>
      <c r="K2" s="27" t="s">
        <v>3</v>
      </c>
      <c r="L2" s="26"/>
    </row>
    <row r="3" spans="1:13" ht="15.75" thickBot="1" x14ac:dyDescent="0.25">
      <c r="A3" s="69" t="s">
        <v>7</v>
      </c>
      <c r="B3" s="29" t="s">
        <v>4</v>
      </c>
      <c r="C3" s="29" t="s">
        <v>5</v>
      </c>
      <c r="D3" s="30" t="s">
        <v>4</v>
      </c>
      <c r="E3" s="29" t="s">
        <v>5</v>
      </c>
      <c r="F3" s="30" t="s">
        <v>4</v>
      </c>
      <c r="G3" s="29" t="s">
        <v>5</v>
      </c>
      <c r="H3" s="30" t="s">
        <v>4</v>
      </c>
      <c r="I3" s="31" t="s">
        <v>5</v>
      </c>
      <c r="J3" s="29" t="s">
        <v>8</v>
      </c>
      <c r="K3" s="32" t="s">
        <v>4</v>
      </c>
      <c r="L3" s="29" t="s">
        <v>5</v>
      </c>
      <c r="M3" s="18" t="s">
        <v>0</v>
      </c>
    </row>
    <row r="4" spans="1:13" ht="15" x14ac:dyDescent="0.2">
      <c r="A4" s="33">
        <v>2017</v>
      </c>
      <c r="B4" s="38">
        <v>275000</v>
      </c>
      <c r="C4" s="39">
        <f>101763+99013</f>
        <v>200776</v>
      </c>
      <c r="D4" s="34"/>
      <c r="E4" s="36"/>
      <c r="F4" s="40"/>
      <c r="G4" s="41"/>
      <c r="H4" s="40"/>
      <c r="I4" s="41"/>
      <c r="J4" s="42">
        <f t="shared" ref="J4:J30" si="0">SUM(B4:I4)</f>
        <v>475776</v>
      </c>
      <c r="K4" s="34"/>
      <c r="L4" s="43"/>
      <c r="M4" s="44">
        <f>SUM(J4:L4)</f>
        <v>475776</v>
      </c>
    </row>
    <row r="5" spans="1:13" ht="15" x14ac:dyDescent="0.2">
      <c r="A5" s="33">
        <v>2018</v>
      </c>
      <c r="B5" s="38">
        <v>280000</v>
      </c>
      <c r="C5" s="39">
        <f>99013+96213</f>
        <v>195226</v>
      </c>
      <c r="D5" s="38">
        <v>85000</v>
      </c>
      <c r="E5" s="39">
        <f>30136+88075</f>
        <v>118211</v>
      </c>
      <c r="F5" s="45"/>
      <c r="G5" s="46"/>
      <c r="H5" s="40"/>
      <c r="I5" s="41"/>
      <c r="J5" s="42">
        <f t="shared" si="0"/>
        <v>678437</v>
      </c>
      <c r="K5" s="34"/>
      <c r="L5" s="43"/>
      <c r="M5" s="47">
        <f t="shared" ref="M5:M30" si="1">SUM(J5:L5)</f>
        <v>678437</v>
      </c>
    </row>
    <row r="6" spans="1:13" ht="15" x14ac:dyDescent="0.2">
      <c r="A6" s="33">
        <v>2019</v>
      </c>
      <c r="B6" s="38">
        <v>285000</v>
      </c>
      <c r="C6" s="39">
        <f>96213+93363</f>
        <v>189576</v>
      </c>
      <c r="D6" s="38"/>
      <c r="E6" s="39">
        <f>88075+88075</f>
        <v>176150</v>
      </c>
      <c r="F6" s="48"/>
      <c r="G6" s="49"/>
      <c r="H6" s="40"/>
      <c r="I6" s="41"/>
      <c r="J6" s="42">
        <f t="shared" si="0"/>
        <v>650726</v>
      </c>
      <c r="K6" s="34"/>
      <c r="L6" s="43"/>
      <c r="M6" s="47">
        <f t="shared" si="1"/>
        <v>650726</v>
      </c>
    </row>
    <row r="7" spans="1:13" ht="15" x14ac:dyDescent="0.2">
      <c r="A7" s="33">
        <v>2020</v>
      </c>
      <c r="B7" s="38">
        <v>290000</v>
      </c>
      <c r="C7" s="39">
        <f>93363+89738</f>
        <v>183101</v>
      </c>
      <c r="D7" s="38"/>
      <c r="E7" s="39">
        <f>88075+88075</f>
        <v>176150</v>
      </c>
      <c r="F7" s="48"/>
      <c r="G7" s="49">
        <v>165826.76999999999</v>
      </c>
      <c r="H7" s="40"/>
      <c r="I7" s="41"/>
      <c r="J7" s="42">
        <f t="shared" si="0"/>
        <v>815077.77</v>
      </c>
      <c r="K7" s="34"/>
      <c r="L7" s="43">
        <v>23913.27</v>
      </c>
      <c r="M7" s="47">
        <f t="shared" si="1"/>
        <v>838991.04</v>
      </c>
    </row>
    <row r="8" spans="1:13" ht="15" x14ac:dyDescent="0.2">
      <c r="A8" s="33">
        <v>2021</v>
      </c>
      <c r="B8" s="35">
        <v>300000</v>
      </c>
      <c r="C8" s="39">
        <f>89738+85988</f>
        <v>175726</v>
      </c>
      <c r="D8" s="38">
        <v>410000</v>
      </c>
      <c r="E8" s="39">
        <f>88075+81925</f>
        <v>170000</v>
      </c>
      <c r="F8" s="48">
        <v>280000</v>
      </c>
      <c r="G8" s="49">
        <v>248432.5</v>
      </c>
      <c r="H8" s="40"/>
      <c r="I8" s="41"/>
      <c r="J8" s="42">
        <f t="shared" si="0"/>
        <v>1584158.5</v>
      </c>
      <c r="K8" s="34">
        <v>20628.22</v>
      </c>
      <c r="L8" s="43">
        <v>3285.05</v>
      </c>
      <c r="M8" s="47">
        <f t="shared" si="1"/>
        <v>1608071.77</v>
      </c>
    </row>
    <row r="9" spans="1:13" ht="15" x14ac:dyDescent="0.2">
      <c r="A9" s="33">
        <v>2022</v>
      </c>
      <c r="B9" s="35">
        <v>305000</v>
      </c>
      <c r="C9" s="39">
        <f>85988+81413</f>
        <v>167401</v>
      </c>
      <c r="D9" s="38">
        <v>425000</v>
      </c>
      <c r="E9" s="39">
        <f>81925+75550</f>
        <v>157475</v>
      </c>
      <c r="F9" s="48">
        <v>290000</v>
      </c>
      <c r="G9" s="49">
        <v>237032.5</v>
      </c>
      <c r="H9" s="40"/>
      <c r="I9" s="41"/>
      <c r="J9" s="42">
        <f t="shared" si="0"/>
        <v>1581908.5</v>
      </c>
      <c r="K9" s="34">
        <v>21404.54</v>
      </c>
      <c r="L9" s="43">
        <v>2508.73</v>
      </c>
      <c r="M9" s="47">
        <f t="shared" si="1"/>
        <v>1605821.77</v>
      </c>
    </row>
    <row r="10" spans="1:13" ht="15" x14ac:dyDescent="0.2">
      <c r="A10" s="33">
        <v>2023</v>
      </c>
      <c r="B10" s="35">
        <v>315000</v>
      </c>
      <c r="C10" s="39">
        <f>81413+76688</f>
        <v>158101</v>
      </c>
      <c r="D10" s="38">
        <v>440000</v>
      </c>
      <c r="E10" s="39">
        <f>75550+68950</f>
        <v>144500</v>
      </c>
      <c r="F10" s="48">
        <v>300000</v>
      </c>
      <c r="G10" s="49">
        <v>225232.5</v>
      </c>
      <c r="H10" s="40">
        <v>305000</v>
      </c>
      <c r="I10" s="41">
        <v>377286</v>
      </c>
      <c r="J10" s="42">
        <f t="shared" si="0"/>
        <v>2265119.5</v>
      </c>
      <c r="K10" s="34">
        <v>22210.080000000002</v>
      </c>
      <c r="L10" s="43">
        <v>1703.19</v>
      </c>
      <c r="M10" s="47">
        <f t="shared" si="1"/>
        <v>2289032.77</v>
      </c>
    </row>
    <row r="11" spans="1:13" ht="15" x14ac:dyDescent="0.2">
      <c r="A11" s="33">
        <v>2024</v>
      </c>
      <c r="B11" s="35">
        <v>325000</v>
      </c>
      <c r="C11" s="39">
        <f>76688+71813</f>
        <v>148501</v>
      </c>
      <c r="D11" s="38">
        <v>450000</v>
      </c>
      <c r="E11" s="39">
        <f>68950+62200</f>
        <v>131150</v>
      </c>
      <c r="F11" s="48">
        <v>310000</v>
      </c>
      <c r="G11" s="49">
        <v>214582.5</v>
      </c>
      <c r="H11" s="40">
        <v>280000</v>
      </c>
      <c r="I11" s="41">
        <v>404113</v>
      </c>
      <c r="J11" s="42">
        <f t="shared" si="0"/>
        <v>2263346.5</v>
      </c>
      <c r="K11" s="34">
        <v>23045.93</v>
      </c>
      <c r="L11" s="43">
        <v>867.34</v>
      </c>
      <c r="M11" s="47">
        <f t="shared" si="1"/>
        <v>2287259.77</v>
      </c>
    </row>
    <row r="12" spans="1:13" ht="15" x14ac:dyDescent="0.2">
      <c r="A12" s="33">
        <v>2025</v>
      </c>
      <c r="B12" s="35">
        <v>335000</v>
      </c>
      <c r="C12" s="39">
        <f>71813+66788</f>
        <v>138601</v>
      </c>
      <c r="D12" s="38">
        <v>465000</v>
      </c>
      <c r="E12" s="39">
        <f>62200+52900</f>
        <v>115100</v>
      </c>
      <c r="F12" s="48">
        <v>320000</v>
      </c>
      <c r="G12" s="49">
        <v>205132.5</v>
      </c>
      <c r="H12" s="48">
        <v>295000</v>
      </c>
      <c r="I12" s="49">
        <v>389738</v>
      </c>
      <c r="J12" s="42">
        <f t="shared" si="0"/>
        <v>2263571.5</v>
      </c>
      <c r="K12" s="38">
        <v>0.96</v>
      </c>
      <c r="L12" s="43">
        <v>0.04</v>
      </c>
      <c r="M12" s="47">
        <f t="shared" si="1"/>
        <v>2263572.5</v>
      </c>
    </row>
    <row r="13" spans="1:13" ht="15" x14ac:dyDescent="0.2">
      <c r="A13" s="33">
        <v>2026</v>
      </c>
      <c r="B13" s="35">
        <v>345000</v>
      </c>
      <c r="C13" s="39">
        <f>66788+61613</f>
        <v>128401</v>
      </c>
      <c r="D13" s="38">
        <v>485000</v>
      </c>
      <c r="E13" s="39">
        <f>52900+43200</f>
        <v>96100</v>
      </c>
      <c r="F13" s="48">
        <v>505000</v>
      </c>
      <c r="G13" s="49">
        <v>192757.5</v>
      </c>
      <c r="H13" s="48">
        <v>310000</v>
      </c>
      <c r="I13" s="49">
        <v>374613</v>
      </c>
      <c r="J13" s="42">
        <f t="shared" si="0"/>
        <v>2436871.5</v>
      </c>
      <c r="K13" s="38"/>
      <c r="L13" s="42"/>
      <c r="M13" s="47">
        <f t="shared" si="1"/>
        <v>2436871.5</v>
      </c>
    </row>
    <row r="14" spans="1:13" ht="15" x14ac:dyDescent="0.2">
      <c r="A14" s="33">
        <v>2027</v>
      </c>
      <c r="B14" s="35">
        <v>355000</v>
      </c>
      <c r="C14" s="39">
        <f>61613+54513</f>
        <v>116126</v>
      </c>
      <c r="D14" s="38">
        <v>510000</v>
      </c>
      <c r="E14" s="39">
        <f>43200+33000</f>
        <v>76200</v>
      </c>
      <c r="F14" s="48">
        <v>525000</v>
      </c>
      <c r="G14" s="49">
        <v>177307.5</v>
      </c>
      <c r="H14" s="48">
        <v>325000</v>
      </c>
      <c r="I14" s="49">
        <v>358738</v>
      </c>
      <c r="J14" s="42">
        <f t="shared" si="0"/>
        <v>2443371.5</v>
      </c>
      <c r="K14" s="38"/>
      <c r="L14" s="42"/>
      <c r="M14" s="47">
        <f t="shared" si="1"/>
        <v>2443371.5</v>
      </c>
    </row>
    <row r="15" spans="1:13" ht="15" x14ac:dyDescent="0.2">
      <c r="A15" s="33">
        <v>2028</v>
      </c>
      <c r="B15" s="35">
        <v>370000</v>
      </c>
      <c r="C15" s="39">
        <f>54513+47113</f>
        <v>101626</v>
      </c>
      <c r="D15" s="38">
        <v>530000</v>
      </c>
      <c r="E15" s="39">
        <f>33000+22400</f>
        <v>55400</v>
      </c>
      <c r="F15" s="48">
        <v>540000</v>
      </c>
      <c r="G15" s="49">
        <v>161332.5</v>
      </c>
      <c r="H15" s="48">
        <v>340000</v>
      </c>
      <c r="I15" s="49">
        <v>342113</v>
      </c>
      <c r="J15" s="42">
        <f t="shared" si="0"/>
        <v>2440471.5</v>
      </c>
      <c r="K15" s="38"/>
      <c r="L15" s="42"/>
      <c r="M15" s="47">
        <f t="shared" si="1"/>
        <v>2440471.5</v>
      </c>
    </row>
    <row r="16" spans="1:13" ht="15" x14ac:dyDescent="0.2">
      <c r="A16" s="33">
        <v>2029</v>
      </c>
      <c r="B16" s="35">
        <v>385000</v>
      </c>
      <c r="C16" s="39">
        <f>47113+39413</f>
        <v>86526</v>
      </c>
      <c r="D16" s="38">
        <v>550000</v>
      </c>
      <c r="E16" s="39">
        <f>22400+11400</f>
        <v>33800</v>
      </c>
      <c r="F16" s="48">
        <v>555000</v>
      </c>
      <c r="G16" s="49">
        <v>144907.5</v>
      </c>
      <c r="H16" s="48">
        <v>360000</v>
      </c>
      <c r="I16" s="49">
        <v>324613</v>
      </c>
      <c r="J16" s="42">
        <f t="shared" si="0"/>
        <v>2439846.5</v>
      </c>
      <c r="K16" s="38"/>
      <c r="L16" s="42"/>
      <c r="M16" s="47">
        <f t="shared" si="1"/>
        <v>2439846.5</v>
      </c>
    </row>
    <row r="17" spans="1:13" ht="15" x14ac:dyDescent="0.2">
      <c r="A17" s="33">
        <v>2030</v>
      </c>
      <c r="B17" s="35">
        <v>405000</v>
      </c>
      <c r="C17" s="39">
        <f>39413+31313</f>
        <v>70726</v>
      </c>
      <c r="D17" s="38">
        <v>570000</v>
      </c>
      <c r="E17" s="39">
        <v>11400</v>
      </c>
      <c r="F17" s="48">
        <v>570000</v>
      </c>
      <c r="G17" s="49">
        <v>130882.5</v>
      </c>
      <c r="H17" s="48">
        <v>380000</v>
      </c>
      <c r="I17" s="49">
        <v>306113</v>
      </c>
      <c r="J17" s="42">
        <f t="shared" si="0"/>
        <v>2444121.5</v>
      </c>
      <c r="K17" s="38"/>
      <c r="L17" s="42"/>
      <c r="M17" s="47">
        <f t="shared" si="1"/>
        <v>2444121.5</v>
      </c>
    </row>
    <row r="18" spans="1:13" ht="15" x14ac:dyDescent="0.2">
      <c r="A18" s="33">
        <v>2031</v>
      </c>
      <c r="B18" s="35">
        <v>420000</v>
      </c>
      <c r="C18" s="39">
        <f>31313+23963</f>
        <v>55276</v>
      </c>
      <c r="D18" s="35"/>
      <c r="E18" s="37"/>
      <c r="F18" s="48">
        <v>580000</v>
      </c>
      <c r="G18" s="49">
        <v>119382.5</v>
      </c>
      <c r="H18" s="52">
        <v>400000</v>
      </c>
      <c r="I18" s="53">
        <v>286613</v>
      </c>
      <c r="J18" s="42">
        <f t="shared" si="0"/>
        <v>1861271.5</v>
      </c>
      <c r="K18" s="35"/>
      <c r="L18" s="50"/>
      <c r="M18" s="47">
        <f t="shared" si="1"/>
        <v>1861271.5</v>
      </c>
    </row>
    <row r="19" spans="1:13" ht="15" x14ac:dyDescent="0.2">
      <c r="A19" s="33">
        <v>2032</v>
      </c>
      <c r="B19" s="35">
        <v>435000</v>
      </c>
      <c r="C19" s="39">
        <f>23963+16241</f>
        <v>40204</v>
      </c>
      <c r="D19" s="35"/>
      <c r="E19" s="37"/>
      <c r="F19" s="48">
        <v>595000</v>
      </c>
      <c r="G19" s="49">
        <v>107483.75</v>
      </c>
      <c r="H19" s="52">
        <v>420000</v>
      </c>
      <c r="I19" s="53">
        <v>266113</v>
      </c>
      <c r="J19" s="42">
        <f t="shared" si="0"/>
        <v>1863800.75</v>
      </c>
      <c r="K19" s="35"/>
      <c r="L19" s="50"/>
      <c r="M19" s="47">
        <f t="shared" si="1"/>
        <v>1863800.75</v>
      </c>
    </row>
    <row r="20" spans="1:13" ht="15" x14ac:dyDescent="0.2">
      <c r="A20" s="33">
        <v>2033</v>
      </c>
      <c r="B20" s="35">
        <v>450000</v>
      </c>
      <c r="C20" s="39">
        <f>16241+8254</f>
        <v>24495</v>
      </c>
      <c r="D20" s="35"/>
      <c r="E20" s="37"/>
      <c r="F20" s="48">
        <v>605000</v>
      </c>
      <c r="G20" s="49">
        <v>95032.5</v>
      </c>
      <c r="H20" s="52">
        <v>440000</v>
      </c>
      <c r="I20" s="53">
        <v>244613</v>
      </c>
      <c r="J20" s="42">
        <f t="shared" si="0"/>
        <v>1859140.5</v>
      </c>
      <c r="K20" s="35"/>
      <c r="L20" s="50"/>
      <c r="M20" s="47">
        <f t="shared" si="1"/>
        <v>1859140.5</v>
      </c>
    </row>
    <row r="21" spans="1:13" ht="15" x14ac:dyDescent="0.2">
      <c r="A21" s="33">
        <v>2034</v>
      </c>
      <c r="B21" s="35">
        <v>465000</v>
      </c>
      <c r="C21" s="39">
        <v>8254</v>
      </c>
      <c r="D21" s="35"/>
      <c r="E21" s="37"/>
      <c r="F21" s="48">
        <v>620000</v>
      </c>
      <c r="G21" s="49">
        <v>82170</v>
      </c>
      <c r="H21" s="52">
        <v>460000</v>
      </c>
      <c r="I21" s="53">
        <v>222113</v>
      </c>
      <c r="J21" s="42">
        <f t="shared" si="0"/>
        <v>1857537</v>
      </c>
      <c r="K21" s="35"/>
      <c r="L21" s="50"/>
      <c r="M21" s="47">
        <f t="shared" si="1"/>
        <v>1857537</v>
      </c>
    </row>
    <row r="22" spans="1:13" ht="15" x14ac:dyDescent="0.2">
      <c r="A22" s="33">
        <v>2035</v>
      </c>
      <c r="B22" s="35"/>
      <c r="C22" s="39"/>
      <c r="D22" s="35"/>
      <c r="E22" s="37"/>
      <c r="F22" s="48">
        <v>630000</v>
      </c>
      <c r="G22" s="49">
        <v>68887.5</v>
      </c>
      <c r="H22" s="52">
        <v>485000</v>
      </c>
      <c r="I22" s="53">
        <v>200913</v>
      </c>
      <c r="J22" s="42">
        <f t="shared" si="0"/>
        <v>1384800.5</v>
      </c>
      <c r="K22" s="35"/>
      <c r="L22" s="50"/>
      <c r="M22" s="47">
        <f t="shared" si="1"/>
        <v>1384800.5</v>
      </c>
    </row>
    <row r="23" spans="1:13" ht="15" x14ac:dyDescent="0.2">
      <c r="A23" s="33">
        <v>2036</v>
      </c>
      <c r="B23" s="35"/>
      <c r="C23" s="39"/>
      <c r="D23" s="35"/>
      <c r="E23" s="37"/>
      <c r="F23" s="48">
        <v>645000</v>
      </c>
      <c r="G23" s="49">
        <v>54858.75</v>
      </c>
      <c r="H23" s="52">
        <v>505000</v>
      </c>
      <c r="I23" s="53">
        <v>181113</v>
      </c>
      <c r="J23" s="42">
        <f t="shared" si="0"/>
        <v>1385971.75</v>
      </c>
      <c r="K23" s="35"/>
      <c r="L23" s="50"/>
      <c r="M23" s="47">
        <f t="shared" si="1"/>
        <v>1385971.75</v>
      </c>
    </row>
    <row r="24" spans="1:13" ht="15" x14ac:dyDescent="0.2">
      <c r="A24" s="33">
        <v>2037</v>
      </c>
      <c r="B24" s="35"/>
      <c r="C24" s="39"/>
      <c r="D24" s="35"/>
      <c r="E24" s="37"/>
      <c r="F24" s="48">
        <v>660000</v>
      </c>
      <c r="G24" s="49">
        <v>40012.5</v>
      </c>
      <c r="H24" s="52">
        <v>525000</v>
      </c>
      <c r="I24" s="53">
        <v>160513</v>
      </c>
      <c r="J24" s="42">
        <f t="shared" si="0"/>
        <v>1385525.5</v>
      </c>
      <c r="K24" s="35"/>
      <c r="L24" s="50"/>
      <c r="M24" s="47">
        <f t="shared" si="1"/>
        <v>1385525.5</v>
      </c>
    </row>
    <row r="25" spans="1:13" ht="15" x14ac:dyDescent="0.2">
      <c r="A25" s="33">
        <v>2038</v>
      </c>
      <c r="B25" s="35"/>
      <c r="C25" s="39"/>
      <c r="D25" s="35"/>
      <c r="E25" s="37"/>
      <c r="F25" s="48">
        <v>675000</v>
      </c>
      <c r="G25" s="49">
        <v>24491.25</v>
      </c>
      <c r="H25" s="52">
        <v>545000</v>
      </c>
      <c r="I25" s="53">
        <v>139113</v>
      </c>
      <c r="J25" s="42">
        <f t="shared" si="0"/>
        <v>1383604.25</v>
      </c>
      <c r="K25" s="35"/>
      <c r="L25" s="50"/>
      <c r="M25" s="47">
        <f t="shared" si="1"/>
        <v>1383604.25</v>
      </c>
    </row>
    <row r="26" spans="1:13" ht="15" x14ac:dyDescent="0.2">
      <c r="A26" s="33">
        <v>2039</v>
      </c>
      <c r="B26" s="34"/>
      <c r="C26" s="39"/>
      <c r="D26" s="34"/>
      <c r="E26" s="36"/>
      <c r="F26" s="48">
        <v>690000</v>
      </c>
      <c r="G26" s="49">
        <v>8280</v>
      </c>
      <c r="H26" s="40">
        <v>570000</v>
      </c>
      <c r="I26" s="41">
        <v>116813</v>
      </c>
      <c r="J26" s="42">
        <f t="shared" si="0"/>
        <v>1385093</v>
      </c>
      <c r="K26" s="34"/>
      <c r="L26" s="51"/>
      <c r="M26" s="47">
        <f t="shared" ref="M26" si="2">SUM(J26:L26)</f>
        <v>1385093</v>
      </c>
    </row>
    <row r="27" spans="1:13" ht="15" x14ac:dyDescent="0.2">
      <c r="A27" s="33">
        <v>2040</v>
      </c>
      <c r="B27" s="35"/>
      <c r="C27" s="39"/>
      <c r="D27" s="35"/>
      <c r="E27" s="37"/>
      <c r="F27" s="48"/>
      <c r="G27" s="49"/>
      <c r="H27" s="40">
        <v>590000</v>
      </c>
      <c r="I27" s="41">
        <v>93613</v>
      </c>
      <c r="J27" s="42"/>
      <c r="K27" s="35"/>
      <c r="L27" s="50"/>
      <c r="M27" s="47"/>
    </row>
    <row r="28" spans="1:13" ht="15" x14ac:dyDescent="0.2">
      <c r="A28" s="33">
        <v>2041</v>
      </c>
      <c r="B28" s="35"/>
      <c r="C28" s="39"/>
      <c r="D28" s="35"/>
      <c r="E28" s="37"/>
      <c r="F28" s="48"/>
      <c r="G28" s="49"/>
      <c r="H28" s="40">
        <v>615000</v>
      </c>
      <c r="I28" s="41">
        <v>68744</v>
      </c>
      <c r="J28" s="42"/>
      <c r="K28" s="35"/>
      <c r="L28" s="50"/>
      <c r="M28" s="47"/>
    </row>
    <row r="29" spans="1:13" ht="15" x14ac:dyDescent="0.2">
      <c r="A29" s="33">
        <v>2042</v>
      </c>
      <c r="B29" s="4"/>
      <c r="C29" s="3"/>
      <c r="D29" s="7"/>
      <c r="E29" s="8"/>
      <c r="F29" s="12"/>
      <c r="G29" s="13"/>
      <c r="H29" s="40">
        <v>640000</v>
      </c>
      <c r="I29" s="41">
        <v>42075</v>
      </c>
      <c r="J29" s="28"/>
      <c r="K29" s="7"/>
      <c r="L29" s="16"/>
      <c r="M29" s="19"/>
    </row>
    <row r="30" spans="1:13" ht="15" x14ac:dyDescent="0.2">
      <c r="A30" s="33">
        <v>2043</v>
      </c>
      <c r="B30" s="5"/>
      <c r="C30" s="6"/>
      <c r="D30" s="9"/>
      <c r="E30" s="10"/>
      <c r="F30" s="12"/>
      <c r="G30" s="13"/>
      <c r="H30" s="85">
        <v>670000</v>
      </c>
      <c r="I30" s="86">
        <v>14238</v>
      </c>
      <c r="J30" s="28"/>
      <c r="K30" s="9"/>
      <c r="L30" s="17"/>
      <c r="M30" s="19"/>
    </row>
    <row r="31" spans="1:13" s="67" customFormat="1" ht="21.75" customHeight="1" x14ac:dyDescent="0.25">
      <c r="A31" s="84" t="s">
        <v>10</v>
      </c>
      <c r="B31" s="73">
        <f>SUM(B4:B30)</f>
        <v>6340000</v>
      </c>
      <c r="C31" s="74">
        <f>SUM(C4:C30)</f>
        <v>2188643</v>
      </c>
      <c r="D31" s="75">
        <f>SUM(D4:D30)</f>
        <v>4920000</v>
      </c>
      <c r="E31" s="76">
        <f>SUM(E5:E30)</f>
        <v>1461636</v>
      </c>
      <c r="F31" s="77">
        <f>SUM(F4:F30)</f>
        <v>9895000</v>
      </c>
      <c r="G31" s="78">
        <f>SUM(G4:G30)</f>
        <v>2704025.52</v>
      </c>
      <c r="H31" s="79">
        <f>SUM(H4:H30)</f>
        <v>9460000</v>
      </c>
      <c r="I31" s="80">
        <f>SUM(I4:I30)</f>
        <v>4913914</v>
      </c>
      <c r="J31" s="81"/>
      <c r="K31" s="82">
        <f>SUM(K4:K30)</f>
        <v>87289.73000000001</v>
      </c>
      <c r="L31" s="82">
        <f>SUM(L4:L30)</f>
        <v>32277.62</v>
      </c>
      <c r="M31" s="83"/>
    </row>
    <row r="32" spans="1:13" ht="25.5" customHeight="1" x14ac:dyDescent="0.25">
      <c r="A32" s="54" t="s">
        <v>9</v>
      </c>
      <c r="B32" s="55">
        <f>SUM(B31:C31)</f>
        <v>8528643</v>
      </c>
      <c r="C32" s="56"/>
      <c r="D32" s="55">
        <f>SUM(D31:E31)</f>
        <v>6381636</v>
      </c>
      <c r="E32" s="56"/>
      <c r="F32" s="55">
        <f>SUM(F31:G31)</f>
        <v>12599025.52</v>
      </c>
      <c r="G32" s="56"/>
      <c r="H32" s="55">
        <f>SUM(H31:I31)</f>
        <v>14373914</v>
      </c>
      <c r="I32" s="57"/>
      <c r="J32" s="58">
        <f>SUM(B32:I32)</f>
        <v>41883218.519999996</v>
      </c>
      <c r="K32" s="57">
        <f>SUM(K31:L31)</f>
        <v>119567.35</v>
      </c>
      <c r="L32" s="57"/>
      <c r="M32" s="59">
        <f>J32+K32</f>
        <v>42002785.869999997</v>
      </c>
    </row>
    <row r="33" spans="1:15" s="67" customFormat="1" ht="27.75" customHeight="1" thickBot="1" x14ac:dyDescent="0.25">
      <c r="A33" s="70" t="s">
        <v>11</v>
      </c>
      <c r="B33" s="60">
        <f>B31</f>
        <v>6340000</v>
      </c>
      <c r="C33" s="61"/>
      <c r="D33" s="60">
        <f>D31</f>
        <v>4920000</v>
      </c>
      <c r="E33" s="61"/>
      <c r="F33" s="60">
        <f>F31</f>
        <v>9895000</v>
      </c>
      <c r="G33" s="61"/>
      <c r="H33" s="60">
        <f>H31</f>
        <v>9460000</v>
      </c>
      <c r="I33" s="62"/>
      <c r="J33" s="71"/>
      <c r="K33" s="60">
        <f>K31</f>
        <v>87289.73000000001</v>
      </c>
      <c r="L33" s="62"/>
      <c r="M33" s="72">
        <f>SUM(B33:L33)</f>
        <v>30702289.73</v>
      </c>
    </row>
    <row r="34" spans="1:15" s="67" customFormat="1" ht="43.5" customHeight="1" thickBot="1" x14ac:dyDescent="0.3">
      <c r="A34" s="68" t="s">
        <v>13</v>
      </c>
      <c r="B34" s="63">
        <f>B31-SUM(B4:B9)</f>
        <v>4605000</v>
      </c>
      <c r="C34" s="63">
        <f t="shared" ref="C34:I34" si="3">C31-SUM(C4:C9)</f>
        <v>1076837</v>
      </c>
      <c r="D34" s="63">
        <f t="shared" si="3"/>
        <v>4000000</v>
      </c>
      <c r="E34" s="63">
        <f t="shared" si="3"/>
        <v>663650</v>
      </c>
      <c r="F34" s="63">
        <f t="shared" si="3"/>
        <v>9325000</v>
      </c>
      <c r="G34" s="63">
        <f t="shared" si="3"/>
        <v>2052733.75</v>
      </c>
      <c r="H34" s="63">
        <f t="shared" si="3"/>
        <v>9460000</v>
      </c>
      <c r="I34" s="63">
        <f t="shared" si="3"/>
        <v>4913914</v>
      </c>
      <c r="J34" s="87">
        <f>SUM(B34:I34)</f>
        <v>36097134.75</v>
      </c>
      <c r="K34" s="64">
        <f>K31-SUM(K4:K9)</f>
        <v>45256.970000000008</v>
      </c>
      <c r="L34" s="64">
        <f>L31-SUM(L4:L9)</f>
        <v>2570.5699999999997</v>
      </c>
      <c r="M34" s="87">
        <f>M32-SUM(M4:M9)</f>
        <v>36144962.289999999</v>
      </c>
      <c r="N34" s="65"/>
      <c r="O34" s="66"/>
    </row>
    <row r="35" spans="1:15" ht="14.25" customHeight="1" x14ac:dyDescent="0.25">
      <c r="J35" s="21"/>
      <c r="M35" s="11"/>
      <c r="N35" s="20"/>
      <c r="O35" s="15"/>
    </row>
    <row r="36" spans="1:15" x14ac:dyDescent="0.2">
      <c r="M36" s="11"/>
    </row>
    <row r="37" spans="1:15" x14ac:dyDescent="0.2">
      <c r="B37" s="1" t="s">
        <v>14</v>
      </c>
      <c r="M37" s="11"/>
    </row>
    <row r="38" spans="1:15" x14ac:dyDescent="0.2">
      <c r="M38" s="11"/>
    </row>
    <row r="42" spans="1:15" x14ac:dyDescent="0.2">
      <c r="H42" s="14"/>
      <c r="I42" s="14"/>
    </row>
  </sheetData>
  <mergeCells count="17">
    <mergeCell ref="K33:L33"/>
    <mergeCell ref="K32:L32"/>
    <mergeCell ref="H32:I32"/>
    <mergeCell ref="F32:G32"/>
    <mergeCell ref="B1:I1"/>
    <mergeCell ref="B32:C32"/>
    <mergeCell ref="D32:E32"/>
    <mergeCell ref="K1:L1"/>
    <mergeCell ref="B2:C2"/>
    <mergeCell ref="D2:E2"/>
    <mergeCell ref="F2:G2"/>
    <mergeCell ref="H2:I2"/>
    <mergeCell ref="K2:L2"/>
    <mergeCell ref="B33:C33"/>
    <mergeCell ref="D33:E33"/>
    <mergeCell ref="F33:G33"/>
    <mergeCell ref="H33:I3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J21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DEBT ISSUES</vt:lpstr>
    </vt:vector>
  </TitlesOfParts>
  <Company>Victoria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Dorthy Rau</dc:creator>
  <cp:lastModifiedBy>Giani Cantu</cp:lastModifiedBy>
  <cp:lastPrinted>2021-03-15T21:49:07Z</cp:lastPrinted>
  <dcterms:created xsi:type="dcterms:W3CDTF">2003-08-28T14:27:35Z</dcterms:created>
  <dcterms:modified xsi:type="dcterms:W3CDTF">2023-08-22T19:40:37Z</dcterms:modified>
</cp:coreProperties>
</file>